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EPENDENCIAS\TESORERIA\CORREO 1 DE JUNIO II\DOCUMENTOS\"/>
    </mc:Choice>
  </mc:AlternateContent>
  <bookViews>
    <workbookView xWindow="0" yWindow="0" windowWidth="28800" windowHeight="12435"/>
  </bookViews>
  <sheets>
    <sheet name="Cap. y Concep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1" l="1"/>
  <c r="F64" i="1"/>
  <c r="F40" i="1"/>
  <c r="F35" i="1"/>
  <c r="F31" i="1"/>
  <c r="F30" i="1"/>
  <c r="F29" i="1"/>
  <c r="F27" i="1"/>
  <c r="F25" i="1"/>
  <c r="F22" i="1"/>
  <c r="F17" i="1"/>
  <c r="F12" i="1"/>
  <c r="F11" i="1"/>
  <c r="F10" i="1"/>
  <c r="F9" i="1"/>
  <c r="C81" i="1" l="1"/>
  <c r="C80" i="1"/>
  <c r="C74" i="1"/>
  <c r="C65" i="1"/>
  <c r="C64" i="1"/>
  <c r="C62" i="1"/>
  <c r="C57" i="1"/>
  <c r="C55" i="1"/>
  <c r="C54" i="1"/>
  <c r="C40" i="1"/>
  <c r="C37" i="1"/>
  <c r="C35" i="1"/>
  <c r="C34" i="1"/>
  <c r="C33" i="1"/>
  <c r="C32" i="1"/>
  <c r="C31" i="1"/>
  <c r="C30" i="1"/>
  <c r="C29" i="1"/>
  <c r="C28" i="1"/>
  <c r="C27" i="1"/>
  <c r="C25" i="1"/>
  <c r="C24" i="1"/>
  <c r="C23" i="1"/>
  <c r="C22" i="1"/>
  <c r="C20" i="1"/>
  <c r="C18" i="1"/>
  <c r="C17" i="1"/>
  <c r="C12" i="1"/>
  <c r="C10" i="1"/>
  <c r="F26" i="1" l="1"/>
  <c r="G29" i="1" l="1"/>
  <c r="G12" i="1" l="1"/>
  <c r="G11" i="1"/>
  <c r="E12" i="1"/>
  <c r="H12" i="1" s="1"/>
  <c r="F8" i="1"/>
  <c r="D8" i="1"/>
  <c r="E11" i="1" l="1"/>
  <c r="H11" i="1" s="1"/>
  <c r="E15" i="1"/>
  <c r="E14" i="1"/>
  <c r="E13" i="1"/>
  <c r="E10" i="1"/>
  <c r="G85" i="1"/>
  <c r="G84" i="1"/>
  <c r="G83" i="1"/>
  <c r="G82" i="1"/>
  <c r="G81" i="1"/>
  <c r="G80" i="1"/>
  <c r="G78" i="1"/>
  <c r="G77" i="1"/>
  <c r="G76" i="1"/>
  <c r="G74" i="1"/>
  <c r="G73" i="1"/>
  <c r="G72" i="1"/>
  <c r="G71" i="1"/>
  <c r="G70" i="1"/>
  <c r="G69" i="1"/>
  <c r="G68" i="1"/>
  <c r="G66" i="1"/>
  <c r="G65" i="1"/>
  <c r="G64" i="1"/>
  <c r="G62" i="1"/>
  <c r="G61" i="1"/>
  <c r="G60" i="1"/>
  <c r="G59" i="1"/>
  <c r="G58" i="1"/>
  <c r="G57" i="1"/>
  <c r="G56" i="1"/>
  <c r="G55" i="1"/>
  <c r="G54" i="1"/>
  <c r="G45" i="1"/>
  <c r="G44" i="1"/>
  <c r="G43" i="1"/>
  <c r="G42" i="1"/>
  <c r="G41" i="1"/>
  <c r="G40" i="1"/>
  <c r="G39" i="1"/>
  <c r="G38" i="1"/>
  <c r="G37" i="1"/>
  <c r="G35" i="1"/>
  <c r="G34" i="1"/>
  <c r="G33" i="1"/>
  <c r="G32" i="1"/>
  <c r="G31" i="1"/>
  <c r="G30" i="1"/>
  <c r="G28" i="1"/>
  <c r="G27" i="1"/>
  <c r="G25" i="1"/>
  <c r="G24" i="1"/>
  <c r="G23" i="1"/>
  <c r="G22" i="1"/>
  <c r="G21" i="1"/>
  <c r="G20" i="1"/>
  <c r="G19" i="1"/>
  <c r="G18" i="1"/>
  <c r="G17" i="1"/>
  <c r="G15" i="1"/>
  <c r="G14" i="1"/>
  <c r="G13" i="1"/>
  <c r="G10" i="1"/>
  <c r="G9" i="1"/>
  <c r="E9" i="1"/>
  <c r="C8" i="1"/>
  <c r="C26" i="1" l="1"/>
  <c r="G8" i="1"/>
  <c r="E8" i="1"/>
  <c r="E84" i="1"/>
  <c r="H84" i="1" s="1"/>
  <c r="E85" i="1"/>
  <c r="E83" i="1"/>
  <c r="H83" i="1" s="1"/>
  <c r="E82" i="1"/>
  <c r="H82" i="1" s="1"/>
  <c r="E81" i="1"/>
  <c r="H81" i="1" s="1"/>
  <c r="E80" i="1"/>
  <c r="E78" i="1"/>
  <c r="H78" i="1" s="1"/>
  <c r="E77" i="1"/>
  <c r="H77" i="1" s="1"/>
  <c r="E76" i="1"/>
  <c r="E74" i="1"/>
  <c r="H74" i="1" s="1"/>
  <c r="E73" i="1"/>
  <c r="H73" i="1" s="1"/>
  <c r="E72" i="1"/>
  <c r="H72" i="1" s="1"/>
  <c r="E71" i="1"/>
  <c r="E70" i="1"/>
  <c r="H70" i="1" s="1"/>
  <c r="E69" i="1"/>
  <c r="E68" i="1"/>
  <c r="E66" i="1"/>
  <c r="E65" i="1"/>
  <c r="H65" i="1" s="1"/>
  <c r="E62" i="1"/>
  <c r="H62" i="1" s="1"/>
  <c r="E61" i="1"/>
  <c r="E60" i="1"/>
  <c r="E59" i="1"/>
  <c r="E58" i="1"/>
  <c r="E57" i="1"/>
  <c r="H57" i="1" s="1"/>
  <c r="E56" i="1"/>
  <c r="E55" i="1"/>
  <c r="H55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E24" i="1"/>
  <c r="H24" i="1" s="1"/>
  <c r="E23" i="1"/>
  <c r="H23" i="1" s="1"/>
  <c r="E22" i="1"/>
  <c r="H22" i="1" s="1"/>
  <c r="E21" i="1"/>
  <c r="H21" i="1" s="1"/>
  <c r="E19" i="1"/>
  <c r="H19" i="1" s="1"/>
  <c r="E18" i="1"/>
  <c r="H18" i="1" s="1"/>
  <c r="D63" i="1"/>
  <c r="G53" i="1"/>
  <c r="F53" i="1"/>
  <c r="D53" i="1"/>
  <c r="G36" i="1"/>
  <c r="F36" i="1"/>
  <c r="D36" i="1"/>
  <c r="C36" i="1"/>
  <c r="D26" i="1"/>
  <c r="D16" i="1"/>
  <c r="H85" i="1"/>
  <c r="H76" i="1"/>
  <c r="H71" i="1"/>
  <c r="H69" i="1"/>
  <c r="H61" i="1"/>
  <c r="H60" i="1"/>
  <c r="H59" i="1"/>
  <c r="H58" i="1"/>
  <c r="H56" i="1"/>
  <c r="H15" i="1"/>
  <c r="H14" i="1"/>
  <c r="H13" i="1"/>
  <c r="H10" i="1"/>
  <c r="H68" i="1" l="1"/>
  <c r="E67" i="1"/>
  <c r="H80" i="1"/>
  <c r="E79" i="1"/>
  <c r="E75" i="1"/>
  <c r="E36" i="1"/>
  <c r="H36" i="1" s="1"/>
  <c r="E26" i="1"/>
  <c r="H26" i="1" s="1"/>
  <c r="G26" i="1"/>
  <c r="H27" i="1"/>
  <c r="H66" i="1"/>
  <c r="G79" i="1"/>
  <c r="F79" i="1"/>
  <c r="D79" i="1"/>
  <c r="C79" i="1"/>
  <c r="F75" i="1"/>
  <c r="D75" i="1"/>
  <c r="C75" i="1"/>
  <c r="F67" i="1"/>
  <c r="D67" i="1"/>
  <c r="C67" i="1"/>
  <c r="F63" i="1"/>
  <c r="E25" i="1"/>
  <c r="H25" i="1" s="1"/>
  <c r="E20" i="1"/>
  <c r="H20" i="1" s="1"/>
  <c r="D86" i="1" l="1"/>
  <c r="C16" i="1"/>
  <c r="E17" i="1"/>
  <c r="E16" i="1" s="1"/>
  <c r="E54" i="1"/>
  <c r="E53" i="1" s="1"/>
  <c r="C53" i="1"/>
  <c r="G16" i="1"/>
  <c r="F16" i="1"/>
  <c r="F86" i="1" s="1"/>
  <c r="E64" i="1"/>
  <c r="E63" i="1" s="1"/>
  <c r="C63" i="1"/>
  <c r="G75" i="1"/>
  <c r="G67" i="1"/>
  <c r="G63" i="1"/>
  <c r="H79" i="1"/>
  <c r="H75" i="1"/>
  <c r="G86" i="1" l="1"/>
  <c r="C86" i="1"/>
  <c r="H9" i="1"/>
  <c r="H8" i="1" s="1"/>
  <c r="H17" i="1"/>
  <c r="H16" i="1"/>
  <c r="H63" i="1"/>
  <c r="H64" i="1"/>
  <c r="H53" i="1"/>
  <c r="H54" i="1"/>
  <c r="H67" i="1"/>
  <c r="E86" i="1" l="1"/>
  <c r="H86" i="1" s="1"/>
</calcChain>
</file>

<file path=xl/sharedStrings.xml><?xml version="1.0" encoding="utf-8"?>
<sst xmlns="http://schemas.openxmlformats.org/spreadsheetml/2006/main" count="96" uniqueCount="84">
  <si>
    <t>CONCEPTO</t>
  </si>
  <si>
    <t>EGRESOS</t>
  </si>
  <si>
    <t>Aprobado</t>
  </si>
  <si>
    <t>Modificado</t>
  </si>
  <si>
    <t>Devengado</t>
  </si>
  <si>
    <t>Pagado</t>
  </si>
  <si>
    <t>Subejercicio</t>
  </si>
  <si>
    <t>6 = (3 - 4)</t>
  </si>
  <si>
    <t>Servicios Personales</t>
  </si>
  <si>
    <t>Remuneraciones al Personal de Carácter Permanente</t>
  </si>
  <si>
    <t>Remuneraciones al Personal de Carácter Transitorio</t>
  </si>
  <si>
    <t xml:space="preserve">Otras Prestaciones Sociales y Economicas </t>
  </si>
  <si>
    <t>Previsiones</t>
  </si>
  <si>
    <t>Pago de Estimulos a Servidores Publicos</t>
  </si>
  <si>
    <t>Materiales y Suministros</t>
  </si>
  <si>
    <t>Materiales de Administracion, Emision de Documentos y Articulos Oficiales</t>
  </si>
  <si>
    <t>Alimentos y Utensilios</t>
  </si>
  <si>
    <t>Materias primas y Materiales de Produccion y Comercializacin</t>
  </si>
  <si>
    <t>Materiales y Articulos de Construccion y de Reparacion</t>
  </si>
  <si>
    <t>Productos Quimiicos, Farmaceuticos y de Laboratorio</t>
  </si>
  <si>
    <t>Combustibles, Lubricantes y Aditivos</t>
  </si>
  <si>
    <t>Vestuario, Blancos, Prendas de Proteccion y Articulos Deportivos</t>
  </si>
  <si>
    <t xml:space="preserve">Herramientas y Suministros Para la Seguridad </t>
  </si>
  <si>
    <t>Herramientas, Refacciones y Accesorios Menores</t>
  </si>
  <si>
    <t>Servicios Basicos</t>
  </si>
  <si>
    <t>Servicios de Arrendamiento</t>
  </si>
  <si>
    <t>Servicios Profesionales, Cientificos, Tecnicos y Otros Servicios</t>
  </si>
  <si>
    <t>Serviciios Financieros, Bancarios y Comerciales</t>
  </si>
  <si>
    <t>Servicios de Instalacion, Reparacion, Mantenimiento y Conservacion</t>
  </si>
  <si>
    <t>Servicios de Traslado y Viaticos</t>
  </si>
  <si>
    <t>Servicios Oficiales</t>
  </si>
  <si>
    <t>Otros Servicios Generales</t>
  </si>
  <si>
    <t>Transferencias, Asignaciones, Subsidios y Otras Ayudas</t>
  </si>
  <si>
    <t>Transferencias Internas y Asignaciones al Sector Publico</t>
  </si>
  <si>
    <t>Transferencias la Resto de Sector Publico</t>
  </si>
  <si>
    <t>Subsidios y Subvenciones</t>
  </si>
  <si>
    <t>Ayudas Sociales</t>
  </si>
  <si>
    <t>Pensiones y Jubilaciones</t>
  </si>
  <si>
    <t>Transfencias a Fideicomisos, Mandatos y Otras Analogos</t>
  </si>
  <si>
    <t>Transfencias a la Seguridad Social</t>
  </si>
  <si>
    <t>Donativos</t>
  </si>
  <si>
    <t>Tranferencias al Exterior</t>
  </si>
  <si>
    <t>Bienes, Muebles, Inmuebles e Intangibles</t>
  </si>
  <si>
    <t>Mobiliario y Equipo de Adminsitracion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</si>
  <si>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</si>
  <si>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</si>
  <si>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</si>
  <si>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</si>
  <si>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</si>
  <si>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</t>
  </si>
  <si>
    <t>Bienes Inmuebles</t>
  </si>
  <si>
    <t>Activos Intangibles</t>
  </si>
  <si>
    <t>Inversion Publica</t>
  </si>
  <si>
    <t>Obra Publica en Bienes de Dominio Publico</t>
  </si>
  <si>
    <t>Obra Pubica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</si>
  <si>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</si>
  <si>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</si>
  <si>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</si>
  <si>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</si>
  <si>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Titulos y Valores</t>
  </si>
  <si>
    <t>Concesion de Prestamos</t>
  </si>
  <si>
    <t>Inversiones en Fideicomiso, Mandato y Otros Analogos</t>
  </si>
  <si>
    <t>Otras Inversiones Financieras</t>
  </si>
  <si>
    <t>Provisiones para Contingencias y Otras Erogaciones Especiales</t>
  </si>
  <si>
    <t>Participaciones y Aportaciones</t>
  </si>
  <si>
    <t xml:space="preserve">Participaciones </t>
  </si>
  <si>
    <t>Aportaciones</t>
  </si>
  <si>
    <t>Convenios</t>
  </si>
  <si>
    <t>Deuda Publica</t>
  </si>
  <si>
    <t>Amortizacion de la Deuda Publica</t>
  </si>
  <si>
    <t>Intereses de la Deuda Publica</t>
  </si>
  <si>
    <t>Gastos de la Deuda Publica</t>
  </si>
  <si>
    <t>Costo por Coberturas</t>
  </si>
  <si>
    <t>Apoyos Financieras</t>
  </si>
  <si>
    <t>Adeudos de Ejercicios Fiscales Anteriores (Adefas)</t>
  </si>
  <si>
    <t>TOTAL DEL GASTO</t>
  </si>
  <si>
    <t>MUNICIPIO DE TRINCHERAS, SONORA</t>
  </si>
  <si>
    <t>Ampliaciones/ Reducciones</t>
  </si>
  <si>
    <t>Servicios Generales</t>
  </si>
  <si>
    <t>ESTADO ANALÍTICO DEL EJERCICIO DEL PRESUPUESTO DE EGRESOS CLASIFICACIÓN POR OBJETO DEL GASTO (CAPÍTULO Y CONCEPTO)</t>
  </si>
  <si>
    <t>Seguridad Social</t>
  </si>
  <si>
    <t>Servicios de Comunicacion Social y Publicidad</t>
  </si>
  <si>
    <t xml:space="preserve">Remuneraciones Adicionales y Especiales </t>
  </si>
  <si>
    <t>DEL 01 DE ENERO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</si>
</sst>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28"/>
      <color theme="1"/>
      <name val="Arial"/>
      <family val="2"/>
    </font>
    <font>
      <sz val="16"/>
      <color theme="1"/>
      <name val="Arial"/>
      <family val="2"/>
    </font>
    <font>
      <sz val="20"/>
      <color theme="1"/>
      <name val="Arial"/>
      <family val="2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2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4" fontId="3" fillId="0" borderId="0" xfId="0" applyNumberFormat="1" applyFont="1"/>
    <xf numFmtId="44" fontId="3" fillId="0" borderId="0" xfId="1" applyFont="1"/>
    <xf numFmtId="0" fontId="2" fillId="0" borderId="0" xfId="0" applyFont="1"/>
    <xf numFmtId="4" fontId="2" fillId="0" borderId="0" xfId="0" applyNumberFormat="1" applyFont="1"/>
    <xf numFmtId="44" fontId="2" fillId="0" borderId="0" xfId="1" applyFont="1"/>
    <xf numFmtId="0" fontId="6" fillId="0" borderId="0" xfId="0" applyFont="1"/>
    <xf numFmtId="4" fontId="6" fillId="0" borderId="0" xfId="0" applyNumberFormat="1" applyFont="1"/>
    <xf numFmtId="0" fontId="7" fillId="0" borderId="0" xfId="0" applyFont="1"/>
    <xf numFmtId="44" fontId="7" fillId="0" borderId="0" xfId="1" applyFont="1"/>
    <xf numFmtId="0" fontId="7" fillId="0" borderId="1" xfId="0" applyFont="1" applyBorder="1" applyAlignment="1">
      <alignment wrapText="1"/>
    </xf>
    <xf numFmtId="4" fontId="7" fillId="0" borderId="1" xfId="0" applyNumberFormat="1" applyFont="1" applyBorder="1"/>
    <xf numFmtId="4" fontId="7" fillId="0" borderId="0" xfId="0" applyNumberFormat="1" applyFont="1"/>
    <xf numFmtId="44" fontId="7" fillId="0" borderId="0" xfId="0" applyNumberFormat="1" applyFont="1"/>
    <xf numFmtId="4" fontId="7" fillId="0" borderId="1" xfId="0" applyNumberFormat="1" applyFont="1" applyBorder="1" applyAlignment="1">
      <alignment vertical="center"/>
    </xf>
    <xf numFmtId="0" fontId="7" fillId="0" borderId="1" xfId="0" applyFont="1" applyFill="1" applyBorder="1"/>
    <xf numFmtId="4" fontId="7" fillId="0" borderId="1" xfId="0" applyNumberFormat="1" applyFont="1" applyFill="1" applyBorder="1" applyAlignment="1">
      <alignment vertical="center"/>
    </xf>
    <xf numFmtId="0" fontId="7" fillId="0" borderId="0" xfId="0" applyFont="1" applyFill="1"/>
    <xf numFmtId="0" fontId="7" fillId="0" borderId="1" xfId="0" applyFont="1" applyBorder="1"/>
    <xf numFmtId="0" fontId="7" fillId="0" borderId="5" xfId="0" applyFont="1" applyBorder="1"/>
    <xf numFmtId="4" fontId="7" fillId="0" borderId="6" xfId="0" applyNumberFormat="1" applyFont="1" applyBorder="1"/>
    <xf numFmtId="4" fontId="7" fillId="0" borderId="6" xfId="0" applyNumberFormat="1" applyFont="1" applyBorder="1" applyAlignment="1">
      <alignment vertical="center"/>
    </xf>
    <xf numFmtId="0" fontId="7" fillId="0" borderId="5" xfId="0" applyFont="1" applyFill="1" applyBorder="1"/>
    <xf numFmtId="4" fontId="7" fillId="0" borderId="6" xfId="0" applyNumberFormat="1" applyFont="1" applyFill="1" applyBorder="1" applyAlignment="1">
      <alignment vertical="center"/>
    </xf>
    <xf numFmtId="0" fontId="7" fillId="0" borderId="7" xfId="0" applyFont="1" applyBorder="1"/>
    <xf numFmtId="0" fontId="7" fillId="0" borderId="8" xfId="0" applyFont="1" applyBorder="1" applyAlignment="1">
      <alignment wrapText="1"/>
    </xf>
    <xf numFmtId="4" fontId="7" fillId="0" borderId="8" xfId="0" applyNumberFormat="1" applyFont="1" applyBorder="1" applyAlignment="1">
      <alignment vertical="center"/>
    </xf>
    <xf numFmtId="4" fontId="7" fillId="0" borderId="9" xfId="0" applyNumberFormat="1" applyFont="1" applyBorder="1" applyAlignment="1">
      <alignment vertic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5" fillId="2" borderId="4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4" fontId="5" fillId="2" borderId="3" xfId="0" applyNumberFormat="1" applyFont="1" applyFill="1" applyBorder="1"/>
    <xf numFmtId="4" fontId="5" fillId="2" borderId="4" xfId="0" applyNumberFormat="1" applyFont="1" applyFill="1" applyBorder="1"/>
    <xf numFmtId="4" fontId="5" fillId="2" borderId="1" xfId="0" applyNumberFormat="1" applyFont="1" applyFill="1" applyBorder="1"/>
    <xf numFmtId="4" fontId="5" fillId="2" borderId="6" xfId="0" applyNumberFormat="1" applyFont="1" applyFill="1" applyBorder="1"/>
    <xf numFmtId="4" fontId="5" fillId="2" borderId="1" xfId="0" applyNumberFormat="1" applyFont="1" applyFill="1" applyBorder="1" applyAlignment="1">
      <alignment vertical="center"/>
    </xf>
    <xf numFmtId="4" fontId="5" fillId="2" borderId="6" xfId="0" applyNumberFormat="1" applyFont="1" applyFill="1" applyBorder="1" applyAlignment="1">
      <alignment vertical="center"/>
    </xf>
    <xf numFmtId="4" fontId="8" fillId="2" borderId="12" xfId="0" applyNumberFormat="1" applyFont="1" applyFill="1" applyBorder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43" fontId="3" fillId="0" borderId="0" xfId="4" applyFont="1"/>
    <xf numFmtId="43" fontId="7" fillId="0" borderId="0" xfId="4" applyFont="1"/>
    <xf numFmtId="0" fontId="11" fillId="2" borderId="1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right" vertical="center"/>
    </xf>
    <xf numFmtId="0" fontId="8" fillId="2" borderId="11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</cellXfs>
  <cellStyles count="5">
    <cellStyle name="Millares" xfId="4" builtinId="3"/>
    <cellStyle name="Moneda" xfId="1" builtinId="4"/>
    <cellStyle name="Normal" xfId="0" builtinId="0"/>
    <cellStyle name="Normal 2 2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abSelected="1" workbookViewId="0">
      <selection sqref="A1:H1"/>
    </sheetView>
  </sheetViews>
  <sheetFormatPr baseColWidth="10" defaultRowHeight="14.25" x14ac:dyDescent="0.2"/>
  <cols>
    <col min="1" max="1" width="3.140625" style="4" customWidth="1"/>
    <col min="2" max="2" width="64" style="4" customWidth="1"/>
    <col min="3" max="3" width="12.7109375" style="4" bestFit="1" customWidth="1"/>
    <col min="4" max="4" width="16.5703125" style="4" customWidth="1"/>
    <col min="5" max="6" width="12.7109375" style="4" bestFit="1" customWidth="1"/>
    <col min="7" max="8" width="16.5703125" style="4" customWidth="1"/>
    <col min="9" max="9" width="11.42578125" style="4"/>
    <col min="10" max="10" width="14.140625" style="4" bestFit="1" customWidth="1"/>
    <col min="11" max="11" width="11.42578125" style="4"/>
    <col min="12" max="12" width="12.5703125" style="4" bestFit="1" customWidth="1"/>
    <col min="13" max="14" width="14.140625" style="4" bestFit="1" customWidth="1"/>
    <col min="15" max="16384" width="11.42578125" style="4"/>
  </cols>
  <sheetData>
    <row r="1" spans="1:13" ht="34.5" x14ac:dyDescent="0.45">
      <c r="A1" s="67" t="s">
        <v>76</v>
      </c>
      <c r="B1" s="68"/>
      <c r="C1" s="68"/>
      <c r="D1" s="68"/>
      <c r="E1" s="68"/>
      <c r="F1" s="68"/>
      <c r="G1" s="68"/>
      <c r="H1" s="69"/>
    </row>
    <row r="2" spans="1:13" ht="51.75" customHeight="1" x14ac:dyDescent="0.2">
      <c r="A2" s="50" t="s">
        <v>79</v>
      </c>
      <c r="B2" s="51"/>
      <c r="C2" s="51"/>
      <c r="D2" s="51"/>
      <c r="E2" s="51"/>
      <c r="F2" s="51"/>
      <c r="G2" s="51"/>
      <c r="H2" s="52"/>
    </row>
    <row r="3" spans="1:13" ht="20.25" x14ac:dyDescent="0.3">
      <c r="A3" s="53" t="s">
        <v>83</v>
      </c>
      <c r="B3" s="54"/>
      <c r="C3" s="54"/>
      <c r="D3" s="54"/>
      <c r="E3" s="54"/>
      <c r="F3" s="54"/>
      <c r="G3" s="54"/>
      <c r="H3" s="55"/>
    </row>
    <row r="4" spans="1:13" ht="12" customHeight="1" thickBot="1" x14ac:dyDescent="0.35">
      <c r="A4" s="29"/>
      <c r="B4" s="30"/>
      <c r="C4" s="30"/>
      <c r="D4" s="30"/>
      <c r="E4" s="30"/>
      <c r="F4" s="30"/>
      <c r="G4" s="30"/>
      <c r="H4" s="31"/>
    </row>
    <row r="5" spans="1:13" x14ac:dyDescent="0.2">
      <c r="A5" s="56" t="s">
        <v>0</v>
      </c>
      <c r="B5" s="57"/>
      <c r="C5" s="62" t="s">
        <v>1</v>
      </c>
      <c r="D5" s="62"/>
      <c r="E5" s="62"/>
      <c r="F5" s="62"/>
      <c r="G5" s="62"/>
      <c r="H5" s="32"/>
    </row>
    <row r="6" spans="1:13" ht="25.5" x14ac:dyDescent="0.2">
      <c r="A6" s="58"/>
      <c r="B6" s="59"/>
      <c r="C6" s="33" t="s">
        <v>2</v>
      </c>
      <c r="D6" s="34" t="s">
        <v>77</v>
      </c>
      <c r="E6" s="33" t="s">
        <v>3</v>
      </c>
      <c r="F6" s="33" t="s">
        <v>4</v>
      </c>
      <c r="G6" s="33" t="s">
        <v>5</v>
      </c>
      <c r="H6" s="35" t="s">
        <v>6</v>
      </c>
    </row>
    <row r="7" spans="1:13" ht="15" thickBot="1" x14ac:dyDescent="0.25">
      <c r="A7" s="60"/>
      <c r="B7" s="61"/>
      <c r="C7" s="36">
        <v>1</v>
      </c>
      <c r="D7" s="36">
        <v>2</v>
      </c>
      <c r="E7" s="36">
        <v>3</v>
      </c>
      <c r="F7" s="36">
        <v>4</v>
      </c>
      <c r="G7" s="36">
        <v>5</v>
      </c>
      <c r="H7" s="37" t="s">
        <v>7</v>
      </c>
      <c r="J7" s="5"/>
    </row>
    <row r="8" spans="1:13" x14ac:dyDescent="0.2">
      <c r="A8" s="70" t="s">
        <v>8</v>
      </c>
      <c r="B8" s="71"/>
      <c r="C8" s="38">
        <f>+C9+C10+C11+C12+C13+C14+C15</f>
        <v>6669789.75</v>
      </c>
      <c r="D8" s="38">
        <f t="shared" ref="D8:H8" si="0">+D9+D10+D11+D12+D13+D14+D15</f>
        <v>0</v>
      </c>
      <c r="E8" s="38">
        <f t="shared" si="0"/>
        <v>6669789.75</v>
      </c>
      <c r="F8" s="38">
        <f t="shared" si="0"/>
        <v>7033513.7599999998</v>
      </c>
      <c r="G8" s="38">
        <f t="shared" si="0"/>
        <v>7033513.7599999998</v>
      </c>
      <c r="H8" s="39">
        <f t="shared" si="0"/>
        <v>-363724.01000000024</v>
      </c>
      <c r="J8" s="5"/>
    </row>
    <row r="9" spans="1:13" s="9" customFormat="1" ht="12" x14ac:dyDescent="0.2">
      <c r="A9" s="20"/>
      <c r="B9" s="11" t="s">
        <v>9</v>
      </c>
      <c r="C9" s="12">
        <v>4928850</v>
      </c>
      <c r="D9" s="12">
        <v>0</v>
      </c>
      <c r="E9" s="12">
        <f>+C9</f>
        <v>4928850</v>
      </c>
      <c r="F9" s="12">
        <f>303391.8+4376944.03+511681.37</f>
        <v>5192017.2</v>
      </c>
      <c r="G9" s="12">
        <f>+F9</f>
        <v>5192017.2</v>
      </c>
      <c r="H9" s="21">
        <f t="shared" ref="H9:H80" si="1">+E9-F9</f>
        <v>-263167.20000000019</v>
      </c>
      <c r="J9" s="10"/>
    </row>
    <row r="10" spans="1:13" s="9" customFormat="1" ht="12" x14ac:dyDescent="0.2">
      <c r="A10" s="20"/>
      <c r="B10" s="11" t="s">
        <v>10</v>
      </c>
      <c r="C10" s="12">
        <f>(312000/4)*3</f>
        <v>234000</v>
      </c>
      <c r="D10" s="12">
        <v>0</v>
      </c>
      <c r="E10" s="12">
        <f t="shared" ref="E10:E15" si="2">+C10</f>
        <v>234000</v>
      </c>
      <c r="F10" s="12">
        <f>191556+369950</f>
        <v>561506</v>
      </c>
      <c r="G10" s="12">
        <f t="shared" ref="G10:G15" si="3">+F10</f>
        <v>561506</v>
      </c>
      <c r="H10" s="21">
        <f t="shared" si="1"/>
        <v>-327506</v>
      </c>
      <c r="J10" s="10"/>
      <c r="K10" s="13"/>
    </row>
    <row r="11" spans="1:13" s="9" customFormat="1" ht="12" x14ac:dyDescent="0.2">
      <c r="A11" s="20"/>
      <c r="B11" s="11" t="s">
        <v>82</v>
      </c>
      <c r="C11" s="12">
        <v>121500</v>
      </c>
      <c r="D11" s="12">
        <v>0</v>
      </c>
      <c r="E11" s="12">
        <f>+C11</f>
        <v>121500</v>
      </c>
      <c r="F11" s="12">
        <f>1600+108000</f>
        <v>109600</v>
      </c>
      <c r="G11" s="12">
        <f>+F11</f>
        <v>109600</v>
      </c>
      <c r="H11" s="21">
        <f>+E11-F11</f>
        <v>11900</v>
      </c>
      <c r="J11" s="10"/>
    </row>
    <row r="12" spans="1:13" s="9" customFormat="1" ht="12" x14ac:dyDescent="0.2">
      <c r="A12" s="20"/>
      <c r="B12" s="11" t="s">
        <v>80</v>
      </c>
      <c r="C12" s="12">
        <f>(1847253/4)*3</f>
        <v>1385439.75</v>
      </c>
      <c r="D12" s="12">
        <v>0</v>
      </c>
      <c r="E12" s="12">
        <f>+C12</f>
        <v>1385439.75</v>
      </c>
      <c r="F12" s="12">
        <f>748259.9+422130.66</f>
        <v>1170390.56</v>
      </c>
      <c r="G12" s="12">
        <f>+F12</f>
        <v>1170390.56</v>
      </c>
      <c r="H12" s="21">
        <f>+E12-F12</f>
        <v>215049.18999999994</v>
      </c>
      <c r="J12" s="10"/>
    </row>
    <row r="13" spans="1:13" s="9" customFormat="1" ht="12" x14ac:dyDescent="0.2">
      <c r="A13" s="20"/>
      <c r="B13" s="11" t="s">
        <v>11</v>
      </c>
      <c r="C13" s="12">
        <v>0</v>
      </c>
      <c r="D13" s="12">
        <v>0</v>
      </c>
      <c r="E13" s="12">
        <f t="shared" si="2"/>
        <v>0</v>
      </c>
      <c r="F13" s="12">
        <v>0</v>
      </c>
      <c r="G13" s="12">
        <f t="shared" si="3"/>
        <v>0</v>
      </c>
      <c r="H13" s="21">
        <f t="shared" si="1"/>
        <v>0</v>
      </c>
      <c r="J13" s="10"/>
    </row>
    <row r="14" spans="1:13" s="9" customFormat="1" ht="12" x14ac:dyDescent="0.2">
      <c r="A14" s="20"/>
      <c r="B14" s="11" t="s">
        <v>12</v>
      </c>
      <c r="C14" s="12">
        <v>0</v>
      </c>
      <c r="D14" s="12">
        <v>0</v>
      </c>
      <c r="E14" s="12">
        <f t="shared" si="2"/>
        <v>0</v>
      </c>
      <c r="F14" s="12">
        <v>0</v>
      </c>
      <c r="G14" s="12">
        <f t="shared" si="3"/>
        <v>0</v>
      </c>
      <c r="H14" s="21">
        <f t="shared" si="1"/>
        <v>0</v>
      </c>
    </row>
    <row r="15" spans="1:13" s="9" customFormat="1" ht="12" x14ac:dyDescent="0.2">
      <c r="A15" s="20"/>
      <c r="B15" s="11" t="s">
        <v>13</v>
      </c>
      <c r="C15" s="12">
        <v>0</v>
      </c>
      <c r="D15" s="12">
        <v>0</v>
      </c>
      <c r="E15" s="12">
        <f t="shared" si="2"/>
        <v>0</v>
      </c>
      <c r="F15" s="12">
        <v>0</v>
      </c>
      <c r="G15" s="12">
        <f t="shared" si="3"/>
        <v>0</v>
      </c>
      <c r="H15" s="21">
        <f t="shared" si="1"/>
        <v>0</v>
      </c>
      <c r="J15" s="14"/>
      <c r="L15" s="49"/>
      <c r="M15" s="49"/>
    </row>
    <row r="16" spans="1:13" x14ac:dyDescent="0.2">
      <c r="A16" s="65" t="s">
        <v>14</v>
      </c>
      <c r="B16" s="66"/>
      <c r="C16" s="40">
        <f>+C17+C18+C19+C20+C21+C22+C23+C24+C25</f>
        <v>1062729.0150000001</v>
      </c>
      <c r="D16" s="40">
        <f>+D17+D18+D19+D20+D21+D22+D23+D24+D25</f>
        <v>0</v>
      </c>
      <c r="E16" s="40">
        <f>+E17+E18+E19+E20+E21+E22+E23+E24+E25</f>
        <v>1062729.0150000001</v>
      </c>
      <c r="F16" s="40">
        <f>+F17+F18+F19+F20+F21+F22+F23+F24+F25</f>
        <v>1433690.27</v>
      </c>
      <c r="G16" s="40">
        <f>+G17+G18+G19+G20+G21+G22+G23+G24+G25</f>
        <v>1433690.27</v>
      </c>
      <c r="H16" s="41">
        <f>+E16-F16</f>
        <v>-370961.25499999989</v>
      </c>
      <c r="J16" s="5"/>
    </row>
    <row r="17" spans="1:12" s="9" customFormat="1" ht="12" x14ac:dyDescent="0.2">
      <c r="A17" s="20"/>
      <c r="B17" s="11" t="s">
        <v>15</v>
      </c>
      <c r="C17" s="15">
        <f>(126000/4)*3</f>
        <v>94500</v>
      </c>
      <c r="D17" s="15">
        <v>0</v>
      </c>
      <c r="E17" s="15">
        <f t="shared" ref="E17:E25" si="4">+C17</f>
        <v>94500</v>
      </c>
      <c r="F17" s="15">
        <f>37096.72+67193.48</f>
        <v>104290.2</v>
      </c>
      <c r="G17" s="15">
        <f t="shared" ref="G17:G25" si="5">+F17</f>
        <v>104290.2</v>
      </c>
      <c r="H17" s="22">
        <f t="shared" si="1"/>
        <v>-9790.1999999999971</v>
      </c>
      <c r="J17" s="14"/>
    </row>
    <row r="18" spans="1:12" s="9" customFormat="1" ht="12" x14ac:dyDescent="0.2">
      <c r="A18" s="20"/>
      <c r="B18" s="11" t="s">
        <v>16</v>
      </c>
      <c r="C18" s="15">
        <f>(45600/4)*3</f>
        <v>34200</v>
      </c>
      <c r="D18" s="15">
        <v>0</v>
      </c>
      <c r="E18" s="15">
        <f t="shared" si="4"/>
        <v>34200</v>
      </c>
      <c r="F18" s="15">
        <v>97266.36</v>
      </c>
      <c r="G18" s="15">
        <f t="shared" si="5"/>
        <v>97266.36</v>
      </c>
      <c r="H18" s="22">
        <f t="shared" si="1"/>
        <v>-63066.36</v>
      </c>
    </row>
    <row r="19" spans="1:12" s="9" customFormat="1" ht="12" x14ac:dyDescent="0.2">
      <c r="A19" s="20"/>
      <c r="B19" s="11" t="s">
        <v>17</v>
      </c>
      <c r="C19" s="15">
        <v>0</v>
      </c>
      <c r="D19" s="15">
        <v>0</v>
      </c>
      <c r="E19" s="15">
        <f t="shared" si="4"/>
        <v>0</v>
      </c>
      <c r="F19" s="15">
        <v>0</v>
      </c>
      <c r="G19" s="15">
        <f t="shared" si="5"/>
        <v>0</v>
      </c>
      <c r="H19" s="22">
        <f t="shared" si="1"/>
        <v>0</v>
      </c>
    </row>
    <row r="20" spans="1:12" s="9" customFormat="1" ht="12" x14ac:dyDescent="0.2">
      <c r="A20" s="20"/>
      <c r="B20" s="11" t="s">
        <v>18</v>
      </c>
      <c r="C20" s="15">
        <f>(24000/4)*3</f>
        <v>18000</v>
      </c>
      <c r="D20" s="15">
        <v>0</v>
      </c>
      <c r="E20" s="15">
        <f t="shared" si="4"/>
        <v>18000</v>
      </c>
      <c r="F20" s="15">
        <v>56561.24</v>
      </c>
      <c r="G20" s="15">
        <f t="shared" si="5"/>
        <v>56561.24</v>
      </c>
      <c r="H20" s="22">
        <f t="shared" si="1"/>
        <v>-38561.24</v>
      </c>
      <c r="J20" s="14"/>
    </row>
    <row r="21" spans="1:12" s="9" customFormat="1" ht="12" x14ac:dyDescent="0.2">
      <c r="A21" s="20"/>
      <c r="B21" s="11" t="s">
        <v>19</v>
      </c>
      <c r="C21" s="15">
        <v>0</v>
      </c>
      <c r="D21" s="15">
        <v>0</v>
      </c>
      <c r="E21" s="15">
        <f t="shared" si="4"/>
        <v>0</v>
      </c>
      <c r="F21" s="15">
        <v>0</v>
      </c>
      <c r="G21" s="15">
        <f t="shared" si="5"/>
        <v>0</v>
      </c>
      <c r="H21" s="22">
        <f t="shared" si="1"/>
        <v>0</v>
      </c>
      <c r="J21" s="13"/>
      <c r="L21" s="10"/>
    </row>
    <row r="22" spans="1:12" s="9" customFormat="1" ht="12" x14ac:dyDescent="0.2">
      <c r="A22" s="20"/>
      <c r="B22" s="11" t="s">
        <v>20</v>
      </c>
      <c r="C22" s="15">
        <f>(1152972.02/4)*3</f>
        <v>864729.01500000001</v>
      </c>
      <c r="D22" s="15">
        <v>0</v>
      </c>
      <c r="E22" s="15">
        <f t="shared" si="4"/>
        <v>864729.01500000001</v>
      </c>
      <c r="F22" s="15">
        <f>908788.2+222695.49</f>
        <v>1131483.69</v>
      </c>
      <c r="G22" s="15">
        <f t="shared" si="5"/>
        <v>1131483.69</v>
      </c>
      <c r="H22" s="22">
        <f t="shared" si="1"/>
        <v>-266754.67499999993</v>
      </c>
    </row>
    <row r="23" spans="1:12" s="9" customFormat="1" ht="12" x14ac:dyDescent="0.2">
      <c r="A23" s="20"/>
      <c r="B23" s="11" t="s">
        <v>21</v>
      </c>
      <c r="C23" s="15">
        <f>(32400/4)*3</f>
        <v>24300</v>
      </c>
      <c r="D23" s="15">
        <v>0</v>
      </c>
      <c r="E23" s="15">
        <f t="shared" si="4"/>
        <v>24300</v>
      </c>
      <c r="F23" s="15">
        <v>9084.4</v>
      </c>
      <c r="G23" s="15">
        <f t="shared" si="5"/>
        <v>9084.4</v>
      </c>
      <c r="H23" s="22">
        <f t="shared" si="1"/>
        <v>15215.6</v>
      </c>
      <c r="J23" s="10"/>
    </row>
    <row r="24" spans="1:12" s="9" customFormat="1" ht="12" x14ac:dyDescent="0.2">
      <c r="A24" s="20"/>
      <c r="B24" s="11" t="s">
        <v>22</v>
      </c>
      <c r="C24" s="15">
        <f>(12000/4)*3</f>
        <v>9000</v>
      </c>
      <c r="D24" s="15">
        <v>0</v>
      </c>
      <c r="E24" s="15">
        <f t="shared" si="4"/>
        <v>9000</v>
      </c>
      <c r="F24" s="15">
        <v>1386</v>
      </c>
      <c r="G24" s="15">
        <f t="shared" si="5"/>
        <v>1386</v>
      </c>
      <c r="H24" s="22">
        <f t="shared" si="1"/>
        <v>7614</v>
      </c>
      <c r="J24" s="10"/>
    </row>
    <row r="25" spans="1:12" s="9" customFormat="1" ht="12" x14ac:dyDescent="0.2">
      <c r="A25" s="20"/>
      <c r="B25" s="19" t="s">
        <v>23</v>
      </c>
      <c r="C25" s="15">
        <f>(24000/4)*3</f>
        <v>18000</v>
      </c>
      <c r="D25" s="15">
        <v>0</v>
      </c>
      <c r="E25" s="15">
        <f t="shared" si="4"/>
        <v>18000</v>
      </c>
      <c r="F25" s="15">
        <f>30678.38+2940</f>
        <v>33618.380000000005</v>
      </c>
      <c r="G25" s="15">
        <f t="shared" si="5"/>
        <v>33618.380000000005</v>
      </c>
      <c r="H25" s="22">
        <f t="shared" si="1"/>
        <v>-15618.380000000005</v>
      </c>
      <c r="J25" s="10"/>
    </row>
    <row r="26" spans="1:12" x14ac:dyDescent="0.2">
      <c r="A26" s="65" t="s">
        <v>78</v>
      </c>
      <c r="B26" s="66"/>
      <c r="C26" s="40">
        <f>+C27+C28+C29+C30+C31+C32+C33+C34+C35</f>
        <v>2150097.2475000001</v>
      </c>
      <c r="D26" s="40">
        <f>+D27+D28+D29+D30+D31+D32+D33+D34+D35</f>
        <v>0</v>
      </c>
      <c r="E26" s="40">
        <f>+E27+E28+E29+E30+E31+E32+E33+E34+E35</f>
        <v>2150097.2475000001</v>
      </c>
      <c r="F26" s="40">
        <f>+F27+F28+F29+F30+F31+F32+F33+F34+F35</f>
        <v>2723958.4299999997</v>
      </c>
      <c r="G26" s="40">
        <f>+G27+G28+G29+G30+G31+G32+G33+G34+G35</f>
        <v>2723958.4299999997</v>
      </c>
      <c r="H26" s="41">
        <f>+E26-F26</f>
        <v>-573861.18249999965</v>
      </c>
      <c r="J26" s="6"/>
    </row>
    <row r="27" spans="1:12" s="9" customFormat="1" ht="12" x14ac:dyDescent="0.2">
      <c r="A27" s="20"/>
      <c r="B27" s="11" t="s">
        <v>24</v>
      </c>
      <c r="C27" s="15">
        <f>(1033200/4)*3</f>
        <v>774900</v>
      </c>
      <c r="D27" s="15">
        <v>0</v>
      </c>
      <c r="E27" s="15">
        <f t="shared" ref="E27:E35" si="6">+C27</f>
        <v>774900</v>
      </c>
      <c r="F27" s="15">
        <f>298684+303369.33+3186+23261+20872.2</f>
        <v>649372.53</v>
      </c>
      <c r="G27" s="15">
        <f t="shared" ref="G27:G35" si="7">+F27</f>
        <v>649372.53</v>
      </c>
      <c r="H27" s="22">
        <f t="shared" si="1"/>
        <v>125527.46999999997</v>
      </c>
      <c r="J27" s="10"/>
    </row>
    <row r="28" spans="1:12" s="9" customFormat="1" ht="12" x14ac:dyDescent="0.2">
      <c r="A28" s="20"/>
      <c r="B28" s="11" t="s">
        <v>25</v>
      </c>
      <c r="C28" s="15">
        <f>(102000/4)*3</f>
        <v>76500</v>
      </c>
      <c r="D28" s="15">
        <v>0</v>
      </c>
      <c r="E28" s="15">
        <f t="shared" si="6"/>
        <v>76500</v>
      </c>
      <c r="F28" s="15">
        <v>0</v>
      </c>
      <c r="G28" s="15">
        <f t="shared" si="7"/>
        <v>0</v>
      </c>
      <c r="H28" s="22">
        <f t="shared" si="1"/>
        <v>76500</v>
      </c>
      <c r="J28" s="10"/>
    </row>
    <row r="29" spans="1:12" s="9" customFormat="1" ht="12" x14ac:dyDescent="0.2">
      <c r="A29" s="20"/>
      <c r="B29" s="11" t="s">
        <v>26</v>
      </c>
      <c r="C29" s="15">
        <f>(45600/4)*3</f>
        <v>34200</v>
      </c>
      <c r="D29" s="15">
        <v>0</v>
      </c>
      <c r="E29" s="15">
        <f t="shared" si="6"/>
        <v>34200</v>
      </c>
      <c r="F29" s="15">
        <f>21152.04+39440</f>
        <v>60592.04</v>
      </c>
      <c r="G29" s="15">
        <f>+F29</f>
        <v>60592.04</v>
      </c>
      <c r="H29" s="22">
        <f t="shared" si="1"/>
        <v>-26392.04</v>
      </c>
      <c r="J29" s="10"/>
    </row>
    <row r="30" spans="1:12" s="9" customFormat="1" ht="12" x14ac:dyDescent="0.2">
      <c r="A30" s="20"/>
      <c r="B30" s="11" t="s">
        <v>27</v>
      </c>
      <c r="C30" s="15">
        <f>(30000/4)*3</f>
        <v>22500</v>
      </c>
      <c r="D30" s="15">
        <v>0</v>
      </c>
      <c r="E30" s="15">
        <f t="shared" si="6"/>
        <v>22500</v>
      </c>
      <c r="F30" s="15">
        <f>16285.24+9527.52</f>
        <v>25812.760000000002</v>
      </c>
      <c r="G30" s="15">
        <f t="shared" si="7"/>
        <v>25812.760000000002</v>
      </c>
      <c r="H30" s="22">
        <f t="shared" si="1"/>
        <v>-3312.760000000002</v>
      </c>
      <c r="J30" s="10"/>
    </row>
    <row r="31" spans="1:12" s="9" customFormat="1" ht="12" x14ac:dyDescent="0.2">
      <c r="A31" s="20"/>
      <c r="B31" s="11" t="s">
        <v>28</v>
      </c>
      <c r="C31" s="15">
        <f>(1096796.33/4)*3</f>
        <v>822597.24750000006</v>
      </c>
      <c r="D31" s="15">
        <v>0</v>
      </c>
      <c r="E31" s="15">
        <f t="shared" si="6"/>
        <v>822597.24750000006</v>
      </c>
      <c r="F31" s="15">
        <f>632700.93+36150.46+6290+653231.89+200671.49+2238.66</f>
        <v>1531283.43</v>
      </c>
      <c r="G31" s="15">
        <f t="shared" si="7"/>
        <v>1531283.43</v>
      </c>
      <c r="H31" s="22">
        <f t="shared" si="1"/>
        <v>-708686.18249999988</v>
      </c>
    </row>
    <row r="32" spans="1:12" s="9" customFormat="1" ht="12" x14ac:dyDescent="0.2">
      <c r="A32" s="20"/>
      <c r="B32" s="11" t="s">
        <v>81</v>
      </c>
      <c r="C32" s="15">
        <f>(12000/4)*3</f>
        <v>9000</v>
      </c>
      <c r="D32" s="15">
        <v>0</v>
      </c>
      <c r="E32" s="15">
        <f t="shared" si="6"/>
        <v>9000</v>
      </c>
      <c r="F32" s="15">
        <v>4060</v>
      </c>
      <c r="G32" s="15">
        <f t="shared" si="7"/>
        <v>4060</v>
      </c>
      <c r="H32" s="22">
        <f t="shared" si="1"/>
        <v>4940</v>
      </c>
    </row>
    <row r="33" spans="1:8" s="9" customFormat="1" ht="12" x14ac:dyDescent="0.2">
      <c r="A33" s="20"/>
      <c r="B33" s="11" t="s">
        <v>29</v>
      </c>
      <c r="C33" s="15">
        <f>(207600/4)*3</f>
        <v>155700</v>
      </c>
      <c r="D33" s="15">
        <v>0</v>
      </c>
      <c r="E33" s="15">
        <f t="shared" si="6"/>
        <v>155700</v>
      </c>
      <c r="F33" s="15">
        <v>192094.17</v>
      </c>
      <c r="G33" s="15">
        <f t="shared" si="7"/>
        <v>192094.17</v>
      </c>
      <c r="H33" s="22">
        <f t="shared" si="1"/>
        <v>-36394.170000000013</v>
      </c>
    </row>
    <row r="34" spans="1:8" s="9" customFormat="1" ht="12" x14ac:dyDescent="0.2">
      <c r="A34" s="20"/>
      <c r="B34" s="11" t="s">
        <v>30</v>
      </c>
      <c r="C34" s="15">
        <f>(267600/4)*3</f>
        <v>200700</v>
      </c>
      <c r="D34" s="15">
        <v>0</v>
      </c>
      <c r="E34" s="15">
        <f t="shared" si="6"/>
        <v>200700</v>
      </c>
      <c r="F34" s="17">
        <v>111061.54</v>
      </c>
      <c r="G34" s="15">
        <f t="shared" si="7"/>
        <v>111061.54</v>
      </c>
      <c r="H34" s="22">
        <f t="shared" si="1"/>
        <v>89638.46</v>
      </c>
    </row>
    <row r="35" spans="1:8" s="9" customFormat="1" ht="12" x14ac:dyDescent="0.2">
      <c r="A35" s="20"/>
      <c r="B35" s="46" t="s">
        <v>31</v>
      </c>
      <c r="C35" s="15">
        <f>(72000/4)*3</f>
        <v>54000</v>
      </c>
      <c r="D35" s="15">
        <v>0</v>
      </c>
      <c r="E35" s="15">
        <f t="shared" si="6"/>
        <v>54000</v>
      </c>
      <c r="F35" s="15">
        <f>101503.9+48178.06</f>
        <v>149681.96</v>
      </c>
      <c r="G35" s="15">
        <f t="shared" si="7"/>
        <v>149681.96</v>
      </c>
      <c r="H35" s="22">
        <f t="shared" si="1"/>
        <v>-95681.959999999992</v>
      </c>
    </row>
    <row r="36" spans="1:8" x14ac:dyDescent="0.2">
      <c r="A36" s="72" t="s">
        <v>32</v>
      </c>
      <c r="B36" s="73"/>
      <c r="C36" s="42">
        <f>+C37+C38+C39+C40+C41+C42+C43+C44+C45</f>
        <v>647100</v>
      </c>
      <c r="D36" s="42">
        <f>+D37+D38+D39+D40+D41+D42+D43+D44+D45</f>
        <v>0</v>
      </c>
      <c r="E36" s="42">
        <f>+E37+E38+E39+E40+E41+E42+E43+E44+E45</f>
        <v>647100</v>
      </c>
      <c r="F36" s="42">
        <f>+F37+F38+F39+F40+F41+F42+F43+F44+F45</f>
        <v>1016761.95</v>
      </c>
      <c r="G36" s="42">
        <f>+G37+G38+G39+G40+G41+G42+G43+G44+G45</f>
        <v>1016761.95</v>
      </c>
      <c r="H36" s="43">
        <f t="shared" si="1"/>
        <v>-369661.94999999995</v>
      </c>
    </row>
    <row r="37" spans="1:8" s="9" customFormat="1" ht="12" x14ac:dyDescent="0.2">
      <c r="A37" s="20"/>
      <c r="B37" s="11" t="s">
        <v>33</v>
      </c>
      <c r="C37" s="15">
        <f>(508800/4)*3</f>
        <v>381600</v>
      </c>
      <c r="D37" s="15">
        <v>0</v>
      </c>
      <c r="E37" s="15">
        <f t="shared" ref="E37:E44" si="8">+C37</f>
        <v>381600</v>
      </c>
      <c r="F37" s="15">
        <v>669461.06000000006</v>
      </c>
      <c r="G37" s="15">
        <f t="shared" ref="G37:G45" si="9">+F37</f>
        <v>669461.06000000006</v>
      </c>
      <c r="H37" s="22">
        <f t="shared" si="1"/>
        <v>-287861.06000000006</v>
      </c>
    </row>
    <row r="38" spans="1:8" s="9" customFormat="1" ht="12" x14ac:dyDescent="0.2">
      <c r="A38" s="20"/>
      <c r="B38" s="11" t="s">
        <v>34</v>
      </c>
      <c r="C38" s="15">
        <v>0</v>
      </c>
      <c r="D38" s="15">
        <v>0</v>
      </c>
      <c r="E38" s="15">
        <f t="shared" si="8"/>
        <v>0</v>
      </c>
      <c r="F38" s="15">
        <v>0</v>
      </c>
      <c r="G38" s="15">
        <f t="shared" si="9"/>
        <v>0</v>
      </c>
      <c r="H38" s="22">
        <f t="shared" si="1"/>
        <v>0</v>
      </c>
    </row>
    <row r="39" spans="1:8" s="9" customFormat="1" ht="12" x14ac:dyDescent="0.2">
      <c r="A39" s="20"/>
      <c r="B39" s="11" t="s">
        <v>35</v>
      </c>
      <c r="C39" s="15">
        <v>0</v>
      </c>
      <c r="D39" s="15">
        <v>0</v>
      </c>
      <c r="E39" s="15">
        <f t="shared" si="8"/>
        <v>0</v>
      </c>
      <c r="F39" s="15">
        <v>0</v>
      </c>
      <c r="G39" s="15">
        <f t="shared" si="9"/>
        <v>0</v>
      </c>
      <c r="H39" s="22">
        <f t="shared" si="1"/>
        <v>0</v>
      </c>
    </row>
    <row r="40" spans="1:8" s="9" customFormat="1" ht="12" x14ac:dyDescent="0.2">
      <c r="A40" s="20"/>
      <c r="B40" s="11" t="s">
        <v>36</v>
      </c>
      <c r="C40" s="15">
        <f>(354000/4)*3</f>
        <v>265500</v>
      </c>
      <c r="D40" s="15">
        <v>0</v>
      </c>
      <c r="E40" s="15">
        <f t="shared" si="8"/>
        <v>265500</v>
      </c>
      <c r="F40" s="15">
        <f>155675+111800+9911.5+9743.54+60170.85</f>
        <v>347300.88999999996</v>
      </c>
      <c r="G40" s="15">
        <f t="shared" si="9"/>
        <v>347300.88999999996</v>
      </c>
      <c r="H40" s="22">
        <f t="shared" si="1"/>
        <v>-81800.889999999956</v>
      </c>
    </row>
    <row r="41" spans="1:8" s="9" customFormat="1" ht="12" x14ac:dyDescent="0.2">
      <c r="A41" s="20"/>
      <c r="B41" s="11" t="s">
        <v>37</v>
      </c>
      <c r="C41" s="15">
        <v>0</v>
      </c>
      <c r="D41" s="15">
        <v>0</v>
      </c>
      <c r="E41" s="15">
        <f t="shared" si="8"/>
        <v>0</v>
      </c>
      <c r="F41" s="15">
        <v>0</v>
      </c>
      <c r="G41" s="15">
        <f t="shared" si="9"/>
        <v>0</v>
      </c>
      <c r="H41" s="22">
        <f t="shared" si="1"/>
        <v>0</v>
      </c>
    </row>
    <row r="42" spans="1:8" s="9" customFormat="1" ht="12" x14ac:dyDescent="0.2">
      <c r="A42" s="20"/>
      <c r="B42" s="11" t="s">
        <v>38</v>
      </c>
      <c r="C42" s="15">
        <v>0</v>
      </c>
      <c r="D42" s="15">
        <v>0</v>
      </c>
      <c r="E42" s="15">
        <f t="shared" si="8"/>
        <v>0</v>
      </c>
      <c r="F42" s="15">
        <v>0</v>
      </c>
      <c r="G42" s="15">
        <f t="shared" si="9"/>
        <v>0</v>
      </c>
      <c r="H42" s="22">
        <f t="shared" si="1"/>
        <v>0</v>
      </c>
    </row>
    <row r="43" spans="1:8" s="9" customFormat="1" ht="12" x14ac:dyDescent="0.2">
      <c r="A43" s="20"/>
      <c r="B43" s="11" t="s">
        <v>39</v>
      </c>
      <c r="C43" s="15">
        <v>0</v>
      </c>
      <c r="D43" s="15">
        <v>0</v>
      </c>
      <c r="E43" s="15">
        <f t="shared" si="8"/>
        <v>0</v>
      </c>
      <c r="F43" s="15">
        <v>0</v>
      </c>
      <c r="G43" s="15">
        <f t="shared" si="9"/>
        <v>0</v>
      </c>
      <c r="H43" s="22">
        <f t="shared" si="1"/>
        <v>0</v>
      </c>
    </row>
    <row r="44" spans="1:8" s="9" customFormat="1" ht="12" x14ac:dyDescent="0.2">
      <c r="A44" s="20"/>
      <c r="B44" s="11" t="s">
        <v>40</v>
      </c>
      <c r="C44" s="15">
        <v>0</v>
      </c>
      <c r="D44" s="15">
        <v>0</v>
      </c>
      <c r="E44" s="15">
        <f t="shared" si="8"/>
        <v>0</v>
      </c>
      <c r="F44" s="15">
        <v>0</v>
      </c>
      <c r="G44" s="15">
        <f t="shared" si="9"/>
        <v>0</v>
      </c>
      <c r="H44" s="22">
        <f t="shared" si="1"/>
        <v>0</v>
      </c>
    </row>
    <row r="45" spans="1:8" s="9" customFormat="1" ht="12.75" thickBot="1" x14ac:dyDescent="0.25">
      <c r="A45" s="20"/>
      <c r="B45" s="11" t="s">
        <v>41</v>
      </c>
      <c r="C45" s="15">
        <v>0</v>
      </c>
      <c r="D45" s="15">
        <v>0</v>
      </c>
      <c r="E45" s="15">
        <f>+C45</f>
        <v>0</v>
      </c>
      <c r="F45" s="15">
        <v>0</v>
      </c>
      <c r="G45" s="15">
        <f t="shared" si="9"/>
        <v>0</v>
      </c>
      <c r="H45" s="22">
        <f t="shared" si="1"/>
        <v>0</v>
      </c>
    </row>
    <row r="46" spans="1:8" ht="34.5" x14ac:dyDescent="0.45">
      <c r="A46" s="67" t="s">
        <v>76</v>
      </c>
      <c r="B46" s="68"/>
      <c r="C46" s="68"/>
      <c r="D46" s="68"/>
      <c r="E46" s="68"/>
      <c r="F46" s="68"/>
      <c r="G46" s="68"/>
      <c r="H46" s="69"/>
    </row>
    <row r="47" spans="1:8" ht="51.75" customHeight="1" x14ac:dyDescent="0.2">
      <c r="A47" s="50" t="s">
        <v>79</v>
      </c>
      <c r="B47" s="51"/>
      <c r="C47" s="51"/>
      <c r="D47" s="51"/>
      <c r="E47" s="51"/>
      <c r="F47" s="51"/>
      <c r="G47" s="51"/>
      <c r="H47" s="52"/>
    </row>
    <row r="48" spans="1:8" ht="20.25" x14ac:dyDescent="0.3">
      <c r="A48" s="53" t="s">
        <v>83</v>
      </c>
      <c r="B48" s="54"/>
      <c r="C48" s="54"/>
      <c r="D48" s="54"/>
      <c r="E48" s="54"/>
      <c r="F48" s="54"/>
      <c r="G48" s="54"/>
      <c r="H48" s="55"/>
    </row>
    <row r="49" spans="1:10" ht="12" customHeight="1" thickBot="1" x14ac:dyDescent="0.35">
      <c r="A49" s="29"/>
      <c r="B49" s="30"/>
      <c r="C49" s="30"/>
      <c r="D49" s="30"/>
      <c r="E49" s="30"/>
      <c r="F49" s="30"/>
      <c r="G49" s="30"/>
      <c r="H49" s="31"/>
    </row>
    <row r="50" spans="1:10" x14ac:dyDescent="0.2">
      <c r="A50" s="56" t="s">
        <v>0</v>
      </c>
      <c r="B50" s="57"/>
      <c r="C50" s="62" t="s">
        <v>1</v>
      </c>
      <c r="D50" s="62"/>
      <c r="E50" s="62"/>
      <c r="F50" s="62"/>
      <c r="G50" s="62"/>
      <c r="H50" s="32"/>
    </row>
    <row r="51" spans="1:10" ht="25.5" x14ac:dyDescent="0.2">
      <c r="A51" s="58"/>
      <c r="B51" s="59"/>
      <c r="C51" s="47" t="s">
        <v>2</v>
      </c>
      <c r="D51" s="34" t="s">
        <v>77</v>
      </c>
      <c r="E51" s="47" t="s">
        <v>3</v>
      </c>
      <c r="F51" s="47" t="s">
        <v>4</v>
      </c>
      <c r="G51" s="47" t="s">
        <v>5</v>
      </c>
      <c r="H51" s="35" t="s">
        <v>6</v>
      </c>
    </row>
    <row r="52" spans="1:10" ht="15" thickBot="1" x14ac:dyDescent="0.25">
      <c r="A52" s="60"/>
      <c r="B52" s="61"/>
      <c r="C52" s="36">
        <v>1</v>
      </c>
      <c r="D52" s="36">
        <v>2</v>
      </c>
      <c r="E52" s="36">
        <v>3</v>
      </c>
      <c r="F52" s="36">
        <v>4</v>
      </c>
      <c r="G52" s="36">
        <v>5</v>
      </c>
      <c r="H52" s="37" t="s">
        <v>7</v>
      </c>
      <c r="J52" s="5"/>
    </row>
    <row r="53" spans="1:10" s="7" customFormat="1" ht="12.75" x14ac:dyDescent="0.2">
      <c r="A53" s="65" t="s">
        <v>42</v>
      </c>
      <c r="B53" s="66"/>
      <c r="C53" s="42">
        <f>+C54+C55+C56+C57+C58+C59+C60+C61+C62</f>
        <v>216000</v>
      </c>
      <c r="D53" s="42">
        <f>+D54+D55+D56+D57+D58+D59+D60+D61+D62</f>
        <v>0</v>
      </c>
      <c r="E53" s="42">
        <f>+E54+E55+E56+E57+E58+E59+E60+E61+E62</f>
        <v>216000</v>
      </c>
      <c r="F53" s="42">
        <f>+F54+F55+F56+F57+F58+F59+F60+F61+F62</f>
        <v>17400</v>
      </c>
      <c r="G53" s="42">
        <f>+G54+G55+G56+G57+G58+G59+G60+G61+G62</f>
        <v>17400</v>
      </c>
      <c r="H53" s="41">
        <f t="shared" si="1"/>
        <v>198600</v>
      </c>
      <c r="J53" s="8"/>
    </row>
    <row r="54" spans="1:10" s="18" customFormat="1" ht="12" x14ac:dyDescent="0.2">
      <c r="A54" s="23"/>
      <c r="B54" s="16" t="s">
        <v>43</v>
      </c>
      <c r="C54" s="17">
        <f>(6000/4)*3</f>
        <v>4500</v>
      </c>
      <c r="D54" s="17">
        <v>0</v>
      </c>
      <c r="E54" s="17">
        <f t="shared" ref="E54:E62" si="10">+C54</f>
        <v>4500</v>
      </c>
      <c r="F54" s="17">
        <v>17400</v>
      </c>
      <c r="G54" s="17">
        <f t="shared" ref="G54:G62" si="11">+F54</f>
        <v>17400</v>
      </c>
      <c r="H54" s="24">
        <f t="shared" si="1"/>
        <v>-12900</v>
      </c>
    </row>
    <row r="55" spans="1:10" s="9" customFormat="1" ht="12" x14ac:dyDescent="0.2">
      <c r="A55" s="20"/>
      <c r="B55" s="19" t="s">
        <v>44</v>
      </c>
      <c r="C55" s="15">
        <f>(6000/4)*3</f>
        <v>4500</v>
      </c>
      <c r="D55" s="15">
        <v>0</v>
      </c>
      <c r="E55" s="15">
        <f t="shared" si="10"/>
        <v>4500</v>
      </c>
      <c r="F55" s="15">
        <v>0</v>
      </c>
      <c r="G55" s="15">
        <f t="shared" si="11"/>
        <v>0</v>
      </c>
      <c r="H55" s="22">
        <f t="shared" si="1"/>
        <v>4500</v>
      </c>
    </row>
    <row r="56" spans="1:10" s="9" customFormat="1" ht="12" x14ac:dyDescent="0.2">
      <c r="A56" s="20"/>
      <c r="B56" s="19" t="s">
        <v>45</v>
      </c>
      <c r="C56" s="15">
        <v>0</v>
      </c>
      <c r="D56" s="15">
        <v>0</v>
      </c>
      <c r="E56" s="15">
        <f t="shared" si="10"/>
        <v>0</v>
      </c>
      <c r="F56" s="15">
        <v>0</v>
      </c>
      <c r="G56" s="15">
        <f t="shared" si="11"/>
        <v>0</v>
      </c>
      <c r="H56" s="22">
        <f t="shared" si="1"/>
        <v>0</v>
      </c>
    </row>
    <row r="57" spans="1:10" s="9" customFormat="1" ht="12" x14ac:dyDescent="0.2">
      <c r="A57" s="20"/>
      <c r="B57" s="19" t="s">
        <v>46</v>
      </c>
      <c r="C57" s="15">
        <f>(240000/4)*3</f>
        <v>180000</v>
      </c>
      <c r="D57" s="15">
        <v>0</v>
      </c>
      <c r="E57" s="15">
        <f t="shared" si="10"/>
        <v>180000</v>
      </c>
      <c r="F57" s="15">
        <v>0</v>
      </c>
      <c r="G57" s="15">
        <f t="shared" si="11"/>
        <v>0</v>
      </c>
      <c r="H57" s="22">
        <f t="shared" si="1"/>
        <v>180000</v>
      </c>
    </row>
    <row r="58" spans="1:10" s="9" customFormat="1" ht="12" x14ac:dyDescent="0.2">
      <c r="A58" s="20"/>
      <c r="B58" s="19" t="s">
        <v>47</v>
      </c>
      <c r="C58" s="15">
        <v>0</v>
      </c>
      <c r="D58" s="15">
        <v>0</v>
      </c>
      <c r="E58" s="15">
        <f t="shared" si="10"/>
        <v>0</v>
      </c>
      <c r="F58" s="15">
        <v>0</v>
      </c>
      <c r="G58" s="15">
        <f t="shared" si="11"/>
        <v>0</v>
      </c>
      <c r="H58" s="22">
        <f t="shared" si="1"/>
        <v>0</v>
      </c>
    </row>
    <row r="59" spans="1:10" s="9" customFormat="1" ht="12" x14ac:dyDescent="0.2">
      <c r="A59" s="20"/>
      <c r="B59" s="19" t="s">
        <v>48</v>
      </c>
      <c r="C59" s="15">
        <v>0</v>
      </c>
      <c r="D59" s="15">
        <v>0</v>
      </c>
      <c r="E59" s="15">
        <f t="shared" si="10"/>
        <v>0</v>
      </c>
      <c r="F59" s="15">
        <v>0</v>
      </c>
      <c r="G59" s="15">
        <f t="shared" si="11"/>
        <v>0</v>
      </c>
      <c r="H59" s="22">
        <f t="shared" si="1"/>
        <v>0</v>
      </c>
    </row>
    <row r="60" spans="1:10" s="9" customFormat="1" ht="12" x14ac:dyDescent="0.2">
      <c r="A60" s="20"/>
      <c r="B60" s="19" t="s">
        <v>49</v>
      </c>
      <c r="C60" s="15">
        <v>0</v>
      </c>
      <c r="D60" s="15">
        <v>0</v>
      </c>
      <c r="E60" s="15">
        <f t="shared" si="10"/>
        <v>0</v>
      </c>
      <c r="F60" s="15">
        <v>0</v>
      </c>
      <c r="G60" s="15">
        <f t="shared" si="11"/>
        <v>0</v>
      </c>
      <c r="H60" s="22">
        <f t="shared" si="1"/>
        <v>0</v>
      </c>
    </row>
    <row r="61" spans="1:10" s="9" customFormat="1" ht="12" x14ac:dyDescent="0.2">
      <c r="A61" s="20"/>
      <c r="B61" s="19" t="s">
        <v>50</v>
      </c>
      <c r="C61" s="15">
        <v>0</v>
      </c>
      <c r="D61" s="15">
        <v>0</v>
      </c>
      <c r="E61" s="15">
        <f t="shared" si="10"/>
        <v>0</v>
      </c>
      <c r="F61" s="15">
        <v>0</v>
      </c>
      <c r="G61" s="15">
        <f t="shared" si="11"/>
        <v>0</v>
      </c>
      <c r="H61" s="22">
        <f t="shared" si="1"/>
        <v>0</v>
      </c>
    </row>
    <row r="62" spans="1:10" s="9" customFormat="1" ht="12" x14ac:dyDescent="0.2">
      <c r="A62" s="20"/>
      <c r="B62" s="19" t="s">
        <v>51</v>
      </c>
      <c r="C62" s="15">
        <f>(36000/4)*3</f>
        <v>27000</v>
      </c>
      <c r="D62" s="15">
        <v>0</v>
      </c>
      <c r="E62" s="15">
        <f t="shared" si="10"/>
        <v>27000</v>
      </c>
      <c r="F62" s="15">
        <v>0</v>
      </c>
      <c r="G62" s="15">
        <f t="shared" si="11"/>
        <v>0</v>
      </c>
      <c r="H62" s="22">
        <f t="shared" si="1"/>
        <v>27000</v>
      </c>
    </row>
    <row r="63" spans="1:10" s="7" customFormat="1" ht="12.75" x14ac:dyDescent="0.2">
      <c r="A63" s="65" t="s">
        <v>52</v>
      </c>
      <c r="B63" s="66"/>
      <c r="C63" s="42">
        <f>+C64+C65+C66</f>
        <v>3439428.0300000003</v>
      </c>
      <c r="D63" s="42">
        <f>+D64+D65+D66</f>
        <v>0</v>
      </c>
      <c r="E63" s="42">
        <f>+E64+E65+E66</f>
        <v>3439428.0300000003</v>
      </c>
      <c r="F63" s="42">
        <f>+F64+F65+F66</f>
        <v>1921097.8900000001</v>
      </c>
      <c r="G63" s="42">
        <f t="shared" ref="G63" si="12">+G64+G65+G66</f>
        <v>1921097.8900000001</v>
      </c>
      <c r="H63" s="43">
        <f t="shared" si="1"/>
        <v>1518330.1400000001</v>
      </c>
    </row>
    <row r="64" spans="1:10" s="9" customFormat="1" ht="12" x14ac:dyDescent="0.2">
      <c r="A64" s="20"/>
      <c r="B64" s="19" t="s">
        <v>53</v>
      </c>
      <c r="C64" s="15">
        <f>(2290000/4)*3</f>
        <v>1717500</v>
      </c>
      <c r="D64" s="15">
        <v>0</v>
      </c>
      <c r="E64" s="15">
        <f t="shared" ref="E64:E66" si="13">+C64</f>
        <v>1717500</v>
      </c>
      <c r="F64" s="15">
        <f>191552.23+252868.16</f>
        <v>444420.39</v>
      </c>
      <c r="G64" s="15">
        <f t="shared" ref="G64:G66" si="14">+F64</f>
        <v>444420.39</v>
      </c>
      <c r="H64" s="22">
        <f t="shared" si="1"/>
        <v>1273079.6099999999</v>
      </c>
    </row>
    <row r="65" spans="1:14" s="9" customFormat="1" ht="12" x14ac:dyDescent="0.2">
      <c r="A65" s="20"/>
      <c r="B65" s="19" t="s">
        <v>54</v>
      </c>
      <c r="C65" s="15">
        <f>(2295904.04/4)*3</f>
        <v>1721928.03</v>
      </c>
      <c r="D65" s="15">
        <v>0</v>
      </c>
      <c r="E65" s="15">
        <f t="shared" si="13"/>
        <v>1721928.03</v>
      </c>
      <c r="F65" s="15">
        <f>1018784.73+457892.77</f>
        <v>1476677.5</v>
      </c>
      <c r="G65" s="15">
        <f t="shared" si="14"/>
        <v>1476677.5</v>
      </c>
      <c r="H65" s="22">
        <f t="shared" si="1"/>
        <v>245250.53000000003</v>
      </c>
    </row>
    <row r="66" spans="1:14" s="9" customFormat="1" ht="12" x14ac:dyDescent="0.2">
      <c r="A66" s="20"/>
      <c r="B66" s="19" t="s">
        <v>55</v>
      </c>
      <c r="C66" s="15">
        <v>0</v>
      </c>
      <c r="D66" s="15">
        <v>0</v>
      </c>
      <c r="E66" s="15">
        <f t="shared" si="13"/>
        <v>0</v>
      </c>
      <c r="F66" s="15">
        <v>0</v>
      </c>
      <c r="G66" s="15">
        <f t="shared" si="14"/>
        <v>0</v>
      </c>
      <c r="H66" s="22">
        <f t="shared" si="1"/>
        <v>0</v>
      </c>
    </row>
    <row r="67" spans="1:14" s="7" customFormat="1" ht="12.75" x14ac:dyDescent="0.2">
      <c r="A67" s="65" t="s">
        <v>56</v>
      </c>
      <c r="B67" s="66"/>
      <c r="C67" s="42">
        <f>+C68+C69+C70+C71+C72+C73+C74</f>
        <v>3609</v>
      </c>
      <c r="D67" s="42">
        <f t="shared" ref="D67:G67" si="15">+D68+D69+D70+D71+D72+D73+D74</f>
        <v>0</v>
      </c>
      <c r="E67" s="42">
        <f>+E68+E69+E70+E71+E72+E73+E74</f>
        <v>3609</v>
      </c>
      <c r="F67" s="42">
        <f t="shared" si="15"/>
        <v>0</v>
      </c>
      <c r="G67" s="42">
        <f t="shared" si="15"/>
        <v>0</v>
      </c>
      <c r="H67" s="43">
        <f t="shared" si="1"/>
        <v>3609</v>
      </c>
    </row>
    <row r="68" spans="1:14" s="9" customFormat="1" ht="12" x14ac:dyDescent="0.2">
      <c r="A68" s="20"/>
      <c r="B68" s="11" t="s">
        <v>57</v>
      </c>
      <c r="C68" s="15">
        <v>0</v>
      </c>
      <c r="D68" s="15">
        <v>0</v>
      </c>
      <c r="E68" s="15">
        <f t="shared" ref="E68:E74" si="16">+C68</f>
        <v>0</v>
      </c>
      <c r="F68" s="15">
        <v>0</v>
      </c>
      <c r="G68" s="15">
        <f t="shared" ref="G68:G74" si="17">+F68</f>
        <v>0</v>
      </c>
      <c r="H68" s="22">
        <f t="shared" si="1"/>
        <v>0</v>
      </c>
    </row>
    <row r="69" spans="1:14" s="9" customFormat="1" ht="12" x14ac:dyDescent="0.2">
      <c r="A69" s="20"/>
      <c r="B69" s="11" t="s">
        <v>58</v>
      </c>
      <c r="C69" s="15">
        <v>0</v>
      </c>
      <c r="D69" s="15">
        <v>0</v>
      </c>
      <c r="E69" s="15">
        <f t="shared" si="16"/>
        <v>0</v>
      </c>
      <c r="F69" s="15">
        <v>0</v>
      </c>
      <c r="G69" s="15">
        <f t="shared" si="17"/>
        <v>0</v>
      </c>
      <c r="H69" s="22">
        <f t="shared" si="1"/>
        <v>0</v>
      </c>
    </row>
    <row r="70" spans="1:14" s="9" customFormat="1" ht="12" x14ac:dyDescent="0.2">
      <c r="A70" s="20"/>
      <c r="B70" s="11" t="s">
        <v>59</v>
      </c>
      <c r="C70" s="15">
        <v>0</v>
      </c>
      <c r="D70" s="15">
        <v>0</v>
      </c>
      <c r="E70" s="15">
        <f t="shared" si="16"/>
        <v>0</v>
      </c>
      <c r="F70" s="15">
        <v>0</v>
      </c>
      <c r="G70" s="15">
        <f t="shared" si="17"/>
        <v>0</v>
      </c>
      <c r="H70" s="22">
        <f t="shared" si="1"/>
        <v>0</v>
      </c>
    </row>
    <row r="71" spans="1:14" s="9" customFormat="1" ht="12" x14ac:dyDescent="0.2">
      <c r="A71" s="20"/>
      <c r="B71" s="11" t="s">
        <v>60</v>
      </c>
      <c r="C71" s="15">
        <v>0</v>
      </c>
      <c r="D71" s="15">
        <v>0</v>
      </c>
      <c r="E71" s="15">
        <f t="shared" si="16"/>
        <v>0</v>
      </c>
      <c r="F71" s="15">
        <v>0</v>
      </c>
      <c r="G71" s="15">
        <f t="shared" si="17"/>
        <v>0</v>
      </c>
      <c r="H71" s="22">
        <f t="shared" si="1"/>
        <v>0</v>
      </c>
    </row>
    <row r="72" spans="1:14" s="9" customFormat="1" ht="12" x14ac:dyDescent="0.2">
      <c r="A72" s="20"/>
      <c r="B72" s="11" t="s">
        <v>61</v>
      </c>
      <c r="C72" s="15">
        <v>0</v>
      </c>
      <c r="D72" s="15">
        <v>0</v>
      </c>
      <c r="E72" s="15">
        <f t="shared" si="16"/>
        <v>0</v>
      </c>
      <c r="F72" s="15">
        <v>0</v>
      </c>
      <c r="G72" s="15">
        <f t="shared" si="17"/>
        <v>0</v>
      </c>
      <c r="H72" s="22">
        <f t="shared" si="1"/>
        <v>0</v>
      </c>
    </row>
    <row r="73" spans="1:14" s="9" customFormat="1" ht="12" x14ac:dyDescent="0.2">
      <c r="A73" s="20"/>
      <c r="B73" s="11" t="s">
        <v>62</v>
      </c>
      <c r="C73" s="15">
        <v>0</v>
      </c>
      <c r="D73" s="15">
        <v>0</v>
      </c>
      <c r="E73" s="15">
        <f t="shared" si="16"/>
        <v>0</v>
      </c>
      <c r="F73" s="15">
        <v>0</v>
      </c>
      <c r="G73" s="15">
        <f t="shared" si="17"/>
        <v>0</v>
      </c>
      <c r="H73" s="22">
        <f t="shared" si="1"/>
        <v>0</v>
      </c>
    </row>
    <row r="74" spans="1:14" s="9" customFormat="1" ht="12" x14ac:dyDescent="0.2">
      <c r="A74" s="20"/>
      <c r="B74" s="11" t="s">
        <v>63</v>
      </c>
      <c r="C74" s="15">
        <f>(4812/4)*3</f>
        <v>3609</v>
      </c>
      <c r="D74" s="15">
        <v>0</v>
      </c>
      <c r="E74" s="15">
        <f t="shared" si="16"/>
        <v>3609</v>
      </c>
      <c r="F74" s="15">
        <v>0</v>
      </c>
      <c r="G74" s="15">
        <f t="shared" si="17"/>
        <v>0</v>
      </c>
      <c r="H74" s="22">
        <f t="shared" si="1"/>
        <v>3609</v>
      </c>
    </row>
    <row r="75" spans="1:14" s="7" customFormat="1" ht="12.75" x14ac:dyDescent="0.2">
      <c r="A75" s="65" t="s">
        <v>64</v>
      </c>
      <c r="B75" s="66"/>
      <c r="C75" s="42">
        <f>+C76+C77+C78</f>
        <v>0</v>
      </c>
      <c r="D75" s="42">
        <f t="shared" ref="D75:G75" si="18">+D76+D77+D78</f>
        <v>0</v>
      </c>
      <c r="E75" s="42">
        <f>+E76+E77+E78</f>
        <v>0</v>
      </c>
      <c r="F75" s="42">
        <f t="shared" si="18"/>
        <v>0</v>
      </c>
      <c r="G75" s="42">
        <f t="shared" si="18"/>
        <v>0</v>
      </c>
      <c r="H75" s="43">
        <f t="shared" si="1"/>
        <v>0</v>
      </c>
    </row>
    <row r="76" spans="1:14" s="9" customFormat="1" ht="12" x14ac:dyDescent="0.2">
      <c r="A76" s="20"/>
      <c r="B76" s="19" t="s">
        <v>65</v>
      </c>
      <c r="C76" s="15">
        <v>0</v>
      </c>
      <c r="D76" s="15">
        <v>0</v>
      </c>
      <c r="E76" s="15">
        <f t="shared" ref="E76:E78" si="19">+C76</f>
        <v>0</v>
      </c>
      <c r="F76" s="15">
        <v>0</v>
      </c>
      <c r="G76" s="15">
        <f t="shared" ref="G76:G77" si="20">+F76</f>
        <v>0</v>
      </c>
      <c r="H76" s="22">
        <f t="shared" si="1"/>
        <v>0</v>
      </c>
      <c r="J76" s="10"/>
      <c r="K76" s="13"/>
    </row>
    <row r="77" spans="1:14" s="9" customFormat="1" ht="12" x14ac:dyDescent="0.2">
      <c r="A77" s="20"/>
      <c r="B77" s="19" t="s">
        <v>66</v>
      </c>
      <c r="C77" s="15">
        <v>0</v>
      </c>
      <c r="D77" s="15"/>
      <c r="E77" s="15">
        <f t="shared" si="19"/>
        <v>0</v>
      </c>
      <c r="F77" s="15">
        <v>0</v>
      </c>
      <c r="G77" s="15">
        <f t="shared" si="20"/>
        <v>0</v>
      </c>
      <c r="H77" s="22">
        <f t="shared" si="1"/>
        <v>0</v>
      </c>
      <c r="M77" s="10"/>
      <c r="N77" s="10"/>
    </row>
    <row r="78" spans="1:14" s="9" customFormat="1" ht="12" x14ac:dyDescent="0.2">
      <c r="A78" s="20"/>
      <c r="B78" s="19" t="s">
        <v>67</v>
      </c>
      <c r="C78" s="15">
        <v>0</v>
      </c>
      <c r="D78" s="15"/>
      <c r="E78" s="15">
        <f t="shared" si="19"/>
        <v>0</v>
      </c>
      <c r="F78" s="15">
        <v>0</v>
      </c>
      <c r="G78" s="15">
        <f>+F78</f>
        <v>0</v>
      </c>
      <c r="H78" s="22">
        <f t="shared" si="1"/>
        <v>0</v>
      </c>
      <c r="J78" s="13"/>
      <c r="K78" s="13"/>
      <c r="M78" s="14"/>
    </row>
    <row r="79" spans="1:14" s="7" customFormat="1" ht="12.75" x14ac:dyDescent="0.2">
      <c r="A79" s="65" t="s">
        <v>68</v>
      </c>
      <c r="B79" s="66"/>
      <c r="C79" s="42">
        <f>+C80+C81+C82+C83+C84+C85</f>
        <v>180000</v>
      </c>
      <c r="D79" s="42">
        <f t="shared" ref="D79:G79" si="21">+D80+D81+D82+D83+D84+D85</f>
        <v>0</v>
      </c>
      <c r="E79" s="42">
        <f>+E80+E81+E82+E83+E84+E85</f>
        <v>180000</v>
      </c>
      <c r="F79" s="42">
        <f t="shared" si="21"/>
        <v>0</v>
      </c>
      <c r="G79" s="42">
        <f t="shared" si="21"/>
        <v>0</v>
      </c>
      <c r="H79" s="43">
        <f t="shared" si="1"/>
        <v>180000</v>
      </c>
    </row>
    <row r="80" spans="1:14" s="9" customFormat="1" ht="12" x14ac:dyDescent="0.2">
      <c r="A80" s="20"/>
      <c r="B80" s="19" t="s">
        <v>69</v>
      </c>
      <c r="C80" s="15">
        <f>(218184/4)*3</f>
        <v>163638</v>
      </c>
      <c r="D80" s="15">
        <v>0</v>
      </c>
      <c r="E80" s="15">
        <f t="shared" ref="E80:E85" si="22">+C80</f>
        <v>163638</v>
      </c>
      <c r="F80" s="15">
        <v>0</v>
      </c>
      <c r="G80" s="15">
        <f t="shared" ref="G80:G85" si="23">+F80</f>
        <v>0</v>
      </c>
      <c r="H80" s="22">
        <f t="shared" si="1"/>
        <v>163638</v>
      </c>
    </row>
    <row r="81" spans="1:8" s="9" customFormat="1" ht="12" x14ac:dyDescent="0.2">
      <c r="A81" s="20"/>
      <c r="B81" s="19" t="s">
        <v>70</v>
      </c>
      <c r="C81" s="15">
        <f>(21816/4)*3</f>
        <v>16362</v>
      </c>
      <c r="D81" s="15">
        <v>0</v>
      </c>
      <c r="E81" s="15">
        <f t="shared" si="22"/>
        <v>16362</v>
      </c>
      <c r="F81" s="15">
        <v>0</v>
      </c>
      <c r="G81" s="15">
        <f t="shared" si="23"/>
        <v>0</v>
      </c>
      <c r="H81" s="22">
        <f t="shared" ref="H81:H85" si="24">+E81-F81</f>
        <v>16362</v>
      </c>
    </row>
    <row r="82" spans="1:8" s="9" customFormat="1" ht="12" x14ac:dyDescent="0.2">
      <c r="A82" s="20"/>
      <c r="B82" s="19" t="s">
        <v>71</v>
      </c>
      <c r="C82" s="15">
        <v>0</v>
      </c>
      <c r="D82" s="15">
        <v>0</v>
      </c>
      <c r="E82" s="15">
        <f t="shared" si="22"/>
        <v>0</v>
      </c>
      <c r="F82" s="15">
        <v>0</v>
      </c>
      <c r="G82" s="15">
        <f t="shared" si="23"/>
        <v>0</v>
      </c>
      <c r="H82" s="22">
        <f t="shared" si="24"/>
        <v>0</v>
      </c>
    </row>
    <row r="83" spans="1:8" s="9" customFormat="1" ht="12" x14ac:dyDescent="0.2">
      <c r="A83" s="20"/>
      <c r="B83" s="19" t="s">
        <v>72</v>
      </c>
      <c r="C83" s="15">
        <v>0</v>
      </c>
      <c r="D83" s="15">
        <v>0</v>
      </c>
      <c r="E83" s="15">
        <f t="shared" si="22"/>
        <v>0</v>
      </c>
      <c r="F83" s="15">
        <v>0</v>
      </c>
      <c r="G83" s="15">
        <f t="shared" si="23"/>
        <v>0</v>
      </c>
      <c r="H83" s="22">
        <f t="shared" si="24"/>
        <v>0</v>
      </c>
    </row>
    <row r="84" spans="1:8" s="9" customFormat="1" ht="12" x14ac:dyDescent="0.2">
      <c r="A84" s="20"/>
      <c r="B84" s="19" t="s">
        <v>73</v>
      </c>
      <c r="C84" s="15">
        <v>0</v>
      </c>
      <c r="D84" s="15">
        <v>0</v>
      </c>
      <c r="E84" s="15">
        <f>+C84</f>
        <v>0</v>
      </c>
      <c r="F84" s="15">
        <v>0</v>
      </c>
      <c r="G84" s="15">
        <f t="shared" si="23"/>
        <v>0</v>
      </c>
      <c r="H84" s="22">
        <f t="shared" si="24"/>
        <v>0</v>
      </c>
    </row>
    <row r="85" spans="1:8" s="9" customFormat="1" ht="12.75" thickBot="1" x14ac:dyDescent="0.25">
      <c r="A85" s="25"/>
      <c r="B85" s="26" t="s">
        <v>74</v>
      </c>
      <c r="C85" s="27">
        <v>0</v>
      </c>
      <c r="D85" s="27">
        <v>0</v>
      </c>
      <c r="E85" s="27">
        <f t="shared" si="22"/>
        <v>0</v>
      </c>
      <c r="F85" s="27">
        <v>0</v>
      </c>
      <c r="G85" s="27">
        <f t="shared" si="23"/>
        <v>0</v>
      </c>
      <c r="H85" s="28">
        <f t="shared" si="24"/>
        <v>0</v>
      </c>
    </row>
    <row r="86" spans="1:8" ht="15" thickBot="1" x14ac:dyDescent="0.25">
      <c r="A86" s="63" t="s">
        <v>75</v>
      </c>
      <c r="B86" s="64"/>
      <c r="C86" s="44">
        <f>+C8+C16+C26+C36+C53+C63+C67+C75+C79</f>
        <v>14368753.0425</v>
      </c>
      <c r="D86" s="44">
        <f>+D8+D16+D26+D36+D53+D63+D67+D75+D79</f>
        <v>0</v>
      </c>
      <c r="E86" s="44">
        <f>+E8+E16+E26+E36+E53+E63+E67+E75+E79</f>
        <v>14368753.0425</v>
      </c>
      <c r="F86" s="44">
        <f>+F8+F16+F26+F36+F53+F63+F67+F75+F79</f>
        <v>14146422.299999999</v>
      </c>
      <c r="G86" s="44">
        <f>+G8+G16+G26+G36+G53+G63+G67+G75+G79</f>
        <v>14146422.299999999</v>
      </c>
      <c r="H86" s="45">
        <f>+E86-F86</f>
        <v>222330.74250000156</v>
      </c>
    </row>
    <row r="87" spans="1:8" x14ac:dyDescent="0.2">
      <c r="B87" s="1"/>
      <c r="C87" s="2"/>
      <c r="D87" s="1"/>
      <c r="E87" s="2"/>
      <c r="F87" s="2"/>
      <c r="G87" s="1"/>
      <c r="H87" s="1"/>
    </row>
    <row r="88" spans="1:8" x14ac:dyDescent="0.2">
      <c r="B88" s="1"/>
      <c r="C88" s="2"/>
      <c r="D88" s="1"/>
      <c r="E88" s="2"/>
      <c r="F88" s="48"/>
      <c r="G88" s="1"/>
      <c r="H88" s="48"/>
    </row>
    <row r="89" spans="1:8" x14ac:dyDescent="0.2">
      <c r="B89" s="1"/>
      <c r="C89" s="48"/>
      <c r="D89" s="1"/>
      <c r="E89" s="1"/>
      <c r="F89" s="1"/>
      <c r="G89" s="1"/>
      <c r="H89" s="1"/>
    </row>
    <row r="90" spans="1:8" x14ac:dyDescent="0.2">
      <c r="B90" s="1"/>
      <c r="C90" s="2"/>
      <c r="D90" s="3"/>
      <c r="E90" s="1"/>
      <c r="F90" s="1"/>
      <c r="G90" s="1"/>
      <c r="H90" s="1"/>
    </row>
    <row r="91" spans="1:8" x14ac:dyDescent="0.2">
      <c r="B91" s="1"/>
      <c r="C91" s="1"/>
      <c r="D91" s="1"/>
      <c r="E91" s="1"/>
      <c r="F91" s="1"/>
      <c r="G91" s="1"/>
      <c r="H91" s="1"/>
    </row>
    <row r="92" spans="1:8" x14ac:dyDescent="0.2">
      <c r="B92" s="1"/>
      <c r="C92" s="1"/>
      <c r="D92" s="1"/>
      <c r="E92" s="1"/>
      <c r="F92" s="1"/>
      <c r="G92" s="1"/>
      <c r="H92" s="1"/>
    </row>
    <row r="93" spans="1:8" x14ac:dyDescent="0.2">
      <c r="B93" s="1"/>
      <c r="C93" s="1"/>
      <c r="D93" s="1"/>
      <c r="E93" s="1"/>
      <c r="F93" s="1"/>
      <c r="G93" s="1"/>
      <c r="H93" s="1"/>
    </row>
    <row r="94" spans="1:8" x14ac:dyDescent="0.2">
      <c r="B94" s="1"/>
      <c r="C94" s="1"/>
      <c r="D94" s="1"/>
      <c r="E94" s="1"/>
      <c r="F94" s="1"/>
      <c r="G94" s="1"/>
      <c r="H94" s="1"/>
    </row>
  </sheetData>
  <sheetProtection sheet="1" objects="1" scenarios="1"/>
  <mergeCells count="20">
    <mergeCell ref="A8:B8"/>
    <mergeCell ref="A16:B16"/>
    <mergeCell ref="A26:B26"/>
    <mergeCell ref="A36:B36"/>
    <mergeCell ref="A67:B67"/>
    <mergeCell ref="A53:B53"/>
    <mergeCell ref="A63:B63"/>
    <mergeCell ref="A46:H46"/>
    <mergeCell ref="A1:H1"/>
    <mergeCell ref="A2:H2"/>
    <mergeCell ref="A3:H3"/>
    <mergeCell ref="A5:B7"/>
    <mergeCell ref="C5:G5"/>
    <mergeCell ref="A47:H47"/>
    <mergeCell ref="A48:H48"/>
    <mergeCell ref="A50:B52"/>
    <mergeCell ref="C50:G50"/>
    <mergeCell ref="A86:B86"/>
    <mergeCell ref="A75:B75"/>
    <mergeCell ref="A79:B79"/>
  </mergeCells>
  <pageMargins left="0.70866141732283472" right="0.15748031496062992" top="0.94488188976377963" bottom="0.74803149606299213" header="0.15748031496062992" footer="0.15748031496062992"/>
  <pageSetup scale="78" orientation="landscape" r:id="rId1"/>
  <headerFooter>
    <oddFooter>ISAF-09ed6aa8-4293-9af6-72a0-d16bd11b0793
10/8/2022 10:42:15 AM</oddFooter>
    <evenFooter>ISAF-09ed6aa8-4293-9af6-72a0-d16bd11b0793
10/8/2022 10:42:15 AM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Cap. y Concep.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Hpi3</cp:lastModifiedBy>
  <cp:lastPrinted>2022-10-08T18:38:15Z</cp:lastPrinted>
  <dcterms:created xsi:type="dcterms:W3CDTF">2021-10-16T18:45:09Z</dcterms:created>
  <dcterms:modified xsi:type="dcterms:W3CDTF">2023-07-18T20:37:31Z</dcterms:modified>
</cp:coreProperties>
</file>